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3_6\"/>
    </mc:Choice>
  </mc:AlternateContent>
  <xr:revisionPtr revIDLastSave="0" documentId="8_{59EC37B2-0398-4EDE-9A92-0C3FF34660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laimer" sheetId="5" r:id="rId1"/>
    <sheet name="Calculations" sheetId="4" r:id="rId2"/>
    <sheet name="Empirical formula" sheetId="1" r:id="rId3"/>
    <sheet name="Mol. ext. coefficient" sheetId="2" r:id="rId4"/>
    <sheet name="Keq" sheetId="3" r:id="rId5"/>
  </sheets>
  <definedNames>
    <definedName name="_xlnm.Print_Area" localSheetId="1">Calculations!$A$1:$I$28</definedName>
    <definedName name="_xlnm.Print_Area" localSheetId="2">'Empirical formula'!$A$1:$T$37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G7" i="4"/>
  <c r="C31" i="1" s="1"/>
  <c r="G12" i="4"/>
  <c r="G14" i="4" s="1"/>
  <c r="G13" i="4"/>
  <c r="G6" i="4"/>
  <c r="G5" i="4"/>
  <c r="C28" i="4"/>
  <c r="C21" i="4"/>
  <c r="C14" i="4"/>
  <c r="C7" i="4"/>
  <c r="C27" i="3"/>
  <c r="D11" i="3"/>
  <c r="E11" i="3"/>
  <c r="C11" i="3"/>
  <c r="D11" i="2"/>
  <c r="E11" i="2"/>
  <c r="F11" i="2"/>
  <c r="G11" i="2"/>
  <c r="C11" i="2"/>
  <c r="D12" i="1"/>
  <c r="E12" i="1"/>
  <c r="F12" i="1"/>
  <c r="G12" i="1"/>
  <c r="H12" i="1"/>
  <c r="I12" i="1"/>
  <c r="J12" i="1"/>
  <c r="K12" i="1"/>
  <c r="C12" i="1"/>
  <c r="C8" i="1"/>
  <c r="E8" i="1"/>
  <c r="F8" i="1"/>
  <c r="G8" i="1"/>
  <c r="H8" i="1"/>
  <c r="I8" i="1"/>
  <c r="J8" i="1"/>
  <c r="K8" i="1"/>
  <c r="D8" i="1"/>
  <c r="C33" i="1" l="1"/>
  <c r="C23" i="3"/>
  <c r="C14" i="2"/>
  <c r="C21" i="3"/>
  <c r="C35" i="1"/>
  <c r="C23" i="1"/>
  <c r="C26" i="1" s="1"/>
  <c r="E12" i="3"/>
  <c r="E6" i="2"/>
  <c r="E7" i="2" s="1"/>
  <c r="D12" i="3" l="1"/>
  <c r="C12" i="3"/>
  <c r="D6" i="2"/>
  <c r="D7" i="2" s="1"/>
  <c r="C6" i="2"/>
  <c r="G6" i="2"/>
  <c r="G7" i="2" s="1"/>
  <c r="F6" i="2"/>
  <c r="F7" i="2" s="1"/>
  <c r="C13" i="3"/>
  <c r="D13" i="3"/>
  <c r="E13" i="3"/>
  <c r="C24" i="1"/>
  <c r="C25" i="1"/>
  <c r="C27" i="1" s="1"/>
  <c r="C7" i="2" l="1"/>
  <c r="B20" i="2"/>
  <c r="A20" i="2"/>
  <c r="C24" i="2" s="1"/>
  <c r="C28" i="3" s="1"/>
  <c r="D14" i="3" l="1"/>
  <c r="C14" i="3"/>
  <c r="E14" i="3"/>
  <c r="J16" i="1"/>
  <c r="K16" i="1"/>
  <c r="I16" i="1"/>
  <c r="F16" i="1"/>
  <c r="F18" i="1" s="1"/>
  <c r="G16" i="1"/>
  <c r="E16" i="1"/>
  <c r="C17" i="1"/>
  <c r="E17" i="1"/>
  <c r="D16" i="1"/>
  <c r="F17" i="1"/>
  <c r="H16" i="1"/>
  <c r="H17" i="1"/>
  <c r="J17" i="1"/>
  <c r="D17" i="1"/>
  <c r="G17" i="1"/>
  <c r="K17" i="1"/>
  <c r="I17" i="1"/>
  <c r="C16" i="1"/>
  <c r="E16" i="3" l="1"/>
  <c r="E15" i="3"/>
  <c r="E17" i="3" s="1"/>
  <c r="E18" i="1"/>
  <c r="E19" i="1" s="1"/>
  <c r="E20" i="1" s="1"/>
  <c r="C16" i="3"/>
  <c r="C15" i="3"/>
  <c r="C17" i="3" s="1"/>
  <c r="D16" i="3"/>
  <c r="D15" i="3"/>
  <c r="D17" i="3" s="1"/>
  <c r="K18" i="1"/>
  <c r="K19" i="1" s="1"/>
  <c r="K20" i="1" s="1"/>
  <c r="D18" i="1"/>
  <c r="D19" i="1" s="1"/>
  <c r="D20" i="1" s="1"/>
  <c r="H18" i="1"/>
  <c r="H19" i="1" s="1"/>
  <c r="H20" i="1" s="1"/>
  <c r="G18" i="1"/>
  <c r="G19" i="1" s="1"/>
  <c r="I18" i="1"/>
  <c r="I19" i="1" s="1"/>
  <c r="I20" i="1" s="1"/>
  <c r="J18" i="1"/>
  <c r="J19" i="1" s="1"/>
  <c r="J20" i="1" s="1"/>
  <c r="F19" i="1"/>
  <c r="F20" i="1" s="1"/>
  <c r="C18" i="1"/>
  <c r="C19" i="1" s="1"/>
  <c r="C20" i="1" s="1"/>
  <c r="C18" i="3" l="1"/>
  <c r="G20" i="1"/>
  <c r="C36" i="1"/>
</calcChain>
</file>

<file path=xl/sharedStrings.xml><?xml version="1.0" encoding="utf-8"?>
<sst xmlns="http://schemas.openxmlformats.org/spreadsheetml/2006/main" count="181" uniqueCount="76">
  <si>
    <r>
      <t>V(Fe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 xml:space="preserve">) </t>
    </r>
  </si>
  <si>
    <t>(ml)</t>
  </si>
  <si>
    <r>
      <t>A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</si>
  <si>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t>A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</si>
  <si>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A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</si>
  <si>
    <t>A(max)</t>
  </si>
  <si>
    <t>n</t>
  </si>
  <si>
    <r>
      <t>[Fe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 xml:space="preserve">] </t>
    </r>
  </si>
  <si>
    <r>
      <t>[Fe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(H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Sal)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</si>
  <si>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(Fe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</si>
  <si>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(Fe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)</t>
    </r>
  </si>
  <si>
    <t>a</t>
  </si>
  <si>
    <t>b</t>
  </si>
  <si>
    <t>l</t>
  </si>
  <si>
    <t>cm</t>
  </si>
  <si>
    <t>e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</si>
  <si>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eq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</si>
  <si>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(H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Sal)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</si>
  <si>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(H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Sal)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</si>
  <si>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scheme val="minor"/>
      </rPr>
      <t>.cm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</si>
  <si>
    <t>(M.cm)</t>
  </si>
  <si>
    <t>c</t>
  </si>
  <si>
    <t>V</t>
  </si>
  <si>
    <t>M</t>
  </si>
  <si>
    <t>m</t>
  </si>
  <si>
    <t>(g)</t>
  </si>
  <si>
    <r>
      <t>(cm</t>
    </r>
    <r>
      <rPr>
        <b/>
        <vertAlign val="superscript"/>
        <sz val="11"/>
        <color theme="1"/>
        <rFont val="Calibri"/>
        <family val="2"/>
        <charset val="238"/>
        <scheme val="minor"/>
      </rPr>
      <t>-3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</si>
  <si>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</si>
  <si>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</si>
  <si>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</si>
  <si>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</si>
  <si>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t>x</t>
  </si>
  <si>
    <t>(1-x)</t>
  </si>
  <si>
    <t>Iron(III) chloride</t>
  </si>
  <si>
    <t>Salicylic acid</t>
  </si>
  <si>
    <t>Sulfuric acid</t>
  </si>
  <si>
    <t>by dilution</t>
  </si>
  <si>
    <t>Preparation of solutions</t>
  </si>
  <si>
    <t>Determination of the empirical formula of the complex by Job's method</t>
  </si>
  <si>
    <t>Calculation of actual concetration</t>
  </si>
  <si>
    <t>Table 1 Determination of the empirical formula of the complex by Job's method</t>
  </si>
  <si>
    <t>A(mean)</t>
  </si>
  <si>
    <t>Stoichiometric ratio</t>
  </si>
  <si>
    <t xml:space="preserve">V(SA) </t>
  </si>
  <si>
    <t xml:space="preserve">V(HCl) </t>
  </si>
  <si>
    <t>Determination of the molar extinction coefficient of the complex</t>
  </si>
  <si>
    <t>Table 2 Determination of the molar extinction coefficient of the complex</t>
  </si>
  <si>
    <t>Calculation of concetration</t>
  </si>
  <si>
    <t>Linear regression</t>
  </si>
  <si>
    <t>Calculation of molar extinction coefficient</t>
  </si>
  <si>
    <t>Graph</t>
  </si>
  <si>
    <t>Stoichiometric formula</t>
  </si>
  <si>
    <t>Determination of the stability constant of the complex</t>
  </si>
  <si>
    <t>Table 3 Determination of the stability constant of the complex</t>
  </si>
  <si>
    <t>Mixture</t>
  </si>
  <si>
    <r>
      <t>Initial concentration [Fe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]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</si>
  <si>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Initial concentration [H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Sal]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</si>
  <si>
    <r>
      <t>Equilibrium concentration [Fe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(H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Sal)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]</t>
    </r>
    <r>
      <rPr>
        <b/>
        <vertAlign val="subscript"/>
        <sz val="11"/>
        <color theme="1"/>
        <rFont val="Calibri"/>
        <family val="2"/>
        <charset val="238"/>
        <scheme val="minor"/>
      </rPr>
      <t>eq</t>
    </r>
  </si>
  <si>
    <r>
      <t>Equilibrium concentration [Fe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b/>
        <sz val="11"/>
        <color theme="1"/>
        <rFont val="Calibri"/>
        <family val="2"/>
        <charset val="238"/>
        <scheme val="minor"/>
      </rPr>
      <t>]</t>
    </r>
    <r>
      <rPr>
        <b/>
        <vertAlign val="subscript"/>
        <sz val="11"/>
        <color theme="1"/>
        <rFont val="Calibri"/>
        <family val="2"/>
        <charset val="238"/>
        <scheme val="minor"/>
      </rPr>
      <t>eq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</si>
  <si>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Equilibrium concentration [H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Sal]</t>
    </r>
    <r>
      <rPr>
        <b/>
        <vertAlign val="subscript"/>
        <sz val="11"/>
        <color theme="1"/>
        <rFont val="Calibri"/>
        <family val="2"/>
        <charset val="238"/>
        <scheme val="minor"/>
      </rPr>
      <t>eq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</si>
  <si>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eq</t>
    </r>
    <r>
      <rPr>
        <b/>
        <sz val="11"/>
        <color theme="1"/>
        <rFont val="Calibri"/>
        <family val="2"/>
        <charset val="238"/>
        <scheme val="minor"/>
      </rPr>
      <t>(mean)</t>
    </r>
  </si>
  <si>
    <t>Calculation of initial concentration</t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</si>
  <si>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M</t>
    </r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</si>
  <si>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L</t>
    </r>
  </si>
  <si>
    <t>M(h)</t>
  </si>
  <si>
    <t>m(h)</t>
  </si>
  <si>
    <t>h - hydrate</t>
  </si>
  <si>
    <r>
      <t>(g mol</t>
    </r>
    <r>
      <rPr>
        <b/>
        <vertAlign val="superscript"/>
        <sz val="11"/>
        <color theme="1"/>
        <rFont val="Calibri"/>
        <family val="2"/>
        <charset val="238"/>
        <scheme val="minor"/>
      </rPr>
      <t>-3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</si>
  <si>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(mol dm</t>
    </r>
    <r>
      <rPr>
        <b/>
        <vertAlign val="superscript"/>
        <sz val="11"/>
        <color theme="1"/>
        <rFont val="Calibri"/>
        <family val="2"/>
        <charset val="238"/>
        <scheme val="minor"/>
      </rPr>
      <t>-3</t>
    </r>
    <r>
      <rPr>
        <b/>
        <sz val="11"/>
        <color theme="1"/>
        <rFont val="Calibri"/>
        <family val="2"/>
        <charset val="238"/>
        <scheme val="minor"/>
      </rPr>
      <t>)</t>
    </r>
  </si>
  <si>
    <t>Hydrochloric acid</t>
  </si>
  <si>
    <t>see Calculations</t>
  </si>
  <si>
    <t>Reference: Praktikum, Čakrt</t>
  </si>
  <si>
    <r>
      <t>(mol dm</t>
    </r>
    <r>
      <rPr>
        <b/>
        <vertAlign val="superscript"/>
        <sz val="11"/>
        <color rgb="FFFF0000"/>
        <rFont val="Calibri"/>
        <family val="2"/>
        <charset val="238"/>
        <scheme val="minor"/>
      </rPr>
      <t>-3</t>
    </r>
    <r>
      <rPr>
        <b/>
        <sz val="11"/>
        <color rgb="FFFF0000"/>
        <rFont val="Calibri"/>
        <family val="2"/>
        <charset val="238"/>
        <scheme val="minor"/>
      </rPr>
      <t>)</t>
    </r>
  </si>
  <si>
    <t>see Molar extinction coefficient</t>
  </si>
  <si>
    <t>-</t>
  </si>
  <si>
    <r>
      <t>R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</si>
</sst>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1"/>
      <color theme="1"/>
      <name val="Symbol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0033CC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bscript"/>
      <sz val="11"/>
      <color rgb="FFFF000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11" xfId="0" applyFont="1" applyBorder="1"/>
    <xf numFmtId="0" fontId="0" fillId="0" borderId="11" xfId="0" applyBorder="1"/>
    <xf numFmtId="0" fontId="11" fillId="0" borderId="3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164" fontId="9" fillId="0" borderId="0" xfId="0" applyNumberFormat="1" applyFont="1"/>
    <xf numFmtId="0" fontId="1" fillId="0" borderId="0" xfId="0" applyFont="1"/>
    <xf numFmtId="164" fontId="9" fillId="2" borderId="11" xfId="0" applyNumberFormat="1" applyFont="1" applyFill="1" applyBorder="1"/>
    <xf numFmtId="2" fontId="9" fillId="2" borderId="11" xfId="0" applyNumberFormat="1" applyFont="1" applyFill="1" applyBorder="1"/>
    <xf numFmtId="0" fontId="9" fillId="2" borderId="1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0" fontId="6" fillId="0" borderId="4" xfId="0" applyNumberFormat="1" applyFont="1" applyBorder="1" applyAlignment="1">
      <alignment horizontal="right" vertical="center" wrapText="1"/>
    </xf>
    <xf numFmtId="0" fontId="14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1" fontId="6" fillId="0" borderId="4" xfId="0" applyNumberFormat="1" applyFont="1" applyBorder="1" applyAlignment="1">
      <alignment horizontal="right" vertical="center" wrapText="1"/>
    </xf>
    <xf numFmtId="11" fontId="9" fillId="0" borderId="4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165" fontId="2" fillId="3" borderId="4" xfId="0" applyNumberFormat="1" applyFont="1" applyFill="1" applyBorder="1" applyAlignment="1">
      <alignment horizontal="right" vertical="center" wrapText="1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'Empirical formula'!$A$1</c:f>
              <c:strCache>
                <c:ptCount val="1"/>
                <c:pt idx="0">
                  <c:v>Determination of the empirical formula of the complex by Job's method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'Empirical formula'!$C$5:$K$5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'Empirical formula'!$C$12:$K$12</c:f>
              <c:numCache>
                <c:formatCode>0.0000</c:formatCode>
                <c:ptCount val="9"/>
                <c:pt idx="0">
                  <c:v>0.14000000000000001</c:v>
                </c:pt>
                <c:pt idx="1">
                  <c:v>0.38433333333333336</c:v>
                </c:pt>
                <c:pt idx="2">
                  <c:v>0.61933333333333329</c:v>
                </c:pt>
                <c:pt idx="3">
                  <c:v>0.74666666666666659</c:v>
                </c:pt>
                <c:pt idx="4">
                  <c:v>0.81566666666666665</c:v>
                </c:pt>
                <c:pt idx="5">
                  <c:v>0.78666666666666674</c:v>
                </c:pt>
                <c:pt idx="6">
                  <c:v>0.60699999999999998</c:v>
                </c:pt>
                <c:pt idx="7">
                  <c:v>0.42533333333333334</c:v>
                </c:pt>
                <c:pt idx="8">
                  <c:v>0.20166666666666666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E0-4BB6-8E0B-DCA7178E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417119"/>
        <c:axId val="1191406079"/>
      </c:scatterChart>
      <c:valAx>
        <c:axId val="119141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V(Fe</a:t>
                </a:r>
                <a:r>
                  <a:rPr lang="sk-SK" baseline="30000"/>
                  <a:t>3+</a:t>
                </a:r>
                <a:r>
                  <a:rPr lang="sk-SK"/>
                  <a:t>)</a:t>
                </a:r>
                <a:r>
                  <a:rPr lang="sk-SK" baseline="0"/>
                  <a:t> (ml)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06079"/>
        <c:crosses val="autoZero"/>
        <c:crossBetween val="midCat"/>
      </c:valAx>
      <c:valAx>
        <c:axId val="119140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17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Determination of the empirical formula of the complex by Job's method</a:t>
            </a:r>
            <a:r>
              <a:rPr lang="sk-SK"/>
              <a:t> (</a:t>
            </a:r>
            <a:r>
              <a:rPr lang="sk-SK">
                <a:solidFill>
                  <a:srgbClr val="FF0000"/>
                </a:solidFill>
              </a:rPr>
              <a:t>Praktikum, Čakrt</a:t>
            </a:r>
            <a:r>
              <a:rPr lang="sk-SK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'Empirical formula'!$A$1</c:f>
              <c:strCache>
                <c:ptCount val="1"/>
                <c:pt idx="0">
                  <c:v>Determination of the empirical formula of the complex by Job's method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'Empirical formula'!$C$19:$K$19</c:f>
              <c:numCache>
                <c:formatCode>General</c:formatCode>
                <c:ptCount val="9"/>
                <c:pt idx="0">
                  <c:v>0.1</c:v>
                </c:pt>
                <c:pt idx="1">
                  <c:v>0.19999999999999998</c:v>
                </c:pt>
                <c:pt idx="2">
                  <c:v>0.3</c:v>
                </c:pt>
                <c:pt idx="3">
                  <c:v>0.39999999999999997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0.9</c:v>
                </c:pt>
              </c:numCache>
            </c:numRef>
          </c:xVal>
          <c:yVal>
            <c:numRef>
              <c:f>'Empirical formula'!$C$12:$K$12</c:f>
              <c:numCache>
                <c:formatCode>0.0000</c:formatCode>
                <c:ptCount val="9"/>
                <c:pt idx="0">
                  <c:v>0.14000000000000001</c:v>
                </c:pt>
                <c:pt idx="1">
                  <c:v>0.38433333333333336</c:v>
                </c:pt>
                <c:pt idx="2">
                  <c:v>0.61933333333333329</c:v>
                </c:pt>
                <c:pt idx="3">
                  <c:v>0.74666666666666659</c:v>
                </c:pt>
                <c:pt idx="4">
                  <c:v>0.81566666666666665</c:v>
                </c:pt>
                <c:pt idx="5">
                  <c:v>0.78666666666666674</c:v>
                </c:pt>
                <c:pt idx="6">
                  <c:v>0.60699999999999998</c:v>
                </c:pt>
                <c:pt idx="7">
                  <c:v>0.42533333333333334</c:v>
                </c:pt>
                <c:pt idx="8">
                  <c:v>0.20166666666666666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6A-4B6C-8C47-EADE1779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417119"/>
        <c:axId val="1191406079"/>
      </c:scatterChart>
      <c:valAx>
        <c:axId val="119141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06079"/>
        <c:crosses val="autoZero"/>
        <c:crossBetween val="midCat"/>
      </c:valAx>
      <c:valAx>
        <c:axId val="119140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17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'Mol. ext. coefficient'!$A$1</c:f>
              <c:strCache>
                <c:ptCount val="1"/>
                <c:pt idx="0">
                  <c:v>Determination of the molar extinction coefficient of the complex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2489282589676291E-2"/>
                  <c:y val="-1.47222222222222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'Mol. ext. coefficient'!$C$6:$G$6</c:f>
              <c:numCache>
                <c:formatCode>0.00E+00</c:formatCode>
                <c:ptCount val="5"/>
                <c:pt idx="0">
                  <c:v>9.7776791329116269E-5</c:v>
                </c:pt>
                <c:pt idx="1">
                  <c:v>1.9555358265823254E-4</c:v>
                </c:pt>
                <c:pt idx="2">
                  <c:v>2.9333037398734881E-4</c:v>
                </c:pt>
                <c:pt idx="3">
                  <c:v>3.9110716531646507E-4</c:v>
                </c:pt>
                <c:pt idx="4">
                  <c:v>4.8888395664558129E-4</c:v>
                </c:pt>
              </c:numCache>
            </c:numRef>
          </c:xVal>
          <c:yVal>
            <c:numRef>
              <c:f>'Mol. ext. coefficient'!$C$11:$G$11</c:f>
              <c:numCache>
                <c:formatCode>0.000</c:formatCode>
                <c:ptCount val="5"/>
                <c:pt idx="0">
                  <c:v>0.23266666666666669</c:v>
                </c:pt>
                <c:pt idx="1">
                  <c:v>0.33133333333333331</c:v>
                </c:pt>
                <c:pt idx="2">
                  <c:v>0.50666666666666671</c:v>
                </c:pt>
                <c:pt idx="3">
                  <c:v>0.67833333333333334</c:v>
                </c:pt>
                <c:pt idx="4">
                  <c:v>0.82333333333333325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80-4B47-AD1D-34F555BE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442559"/>
        <c:axId val="1191433439"/>
      </c:scatterChart>
      <c:valAx>
        <c:axId val="1191442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[Fe</a:t>
                </a:r>
                <a:r>
                  <a:rPr lang="sk-SK" baseline="30000"/>
                  <a:t>3+</a:t>
                </a:r>
                <a:r>
                  <a:rPr lang="sk-SK"/>
                  <a:t>] (mol.dm</a:t>
                </a:r>
                <a:r>
                  <a:rPr lang="sk-SK" baseline="30000"/>
                  <a:t>-3</a:t>
                </a:r>
                <a:r>
                  <a:rPr lang="sk-SK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33439"/>
        <c:crosses val="autoZero"/>
        <c:crossBetween val="midCat"/>
      </c:valAx>
      <c:valAx>
        <c:axId val="11914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442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481777</xdr:colOff>
      <xdr:row>31</xdr:row>
      <xdr:rowOff>142875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1FA9B3EA-9399-4080-BA54-306BD823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7796977" cy="585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598888</xdr:colOff>
      <xdr:row>2</xdr:row>
      <xdr:rowOff>189277</xdr:rowOff>
    </xdr:from>
    <xdr:to>
      <xdr:col>19</xdr:col>
      <xdr:colOff>34638</xdr:colOff>
      <xdr:row>18</xdr:row>
      <xdr:rowOff>27214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C95781-31F1-DCCF-C15F-25148E96B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602837</xdr:colOff>
      <xdr:row>19</xdr:row>
      <xdr:rowOff>103910</xdr:rowOff>
    </xdr:from>
    <xdr:to>
      <xdr:col>19</xdr:col>
      <xdr:colOff>38587</xdr:colOff>
      <xdr:row>35</xdr:row>
      <xdr:rowOff>309253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22AC5E8-C0D3-45F9-A83C-62D173917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2988</xdr:rowOff>
    </xdr:from>
    <xdr:to>
      <xdr:col>15</xdr:col>
      <xdr:colOff>283882</xdr:colOff>
      <xdr:row>16</xdr:row>
      <xdr:rowOff>4482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80B7B5-AF4A-09AB-940C-5802C4B0E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71D4-D60B-4629-9649-68AA238A0576}">
  <dimension ref="A1"/>
  <sheetViews>
    <sheetView tabSelected="1" zoomScale="90" zoomScaleNormal="9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1D4C-8460-40DC-A6F1-8CF0642C3CBB}">
  <dimension ref="A1:U28"/>
  <sheetViews>
    <sheetView view="pageBreakPreview" zoomScale="90" zoomScaleNormal="85" zoomScaleSheetLayoutView="90" workbookViewId="0">
      <selection activeCell="G7" sqref="G7"/>
    </sheetView>
  </sheetViews>
  <sheetFormatPr defaultRowHeight="14.4" x14ac:dyDescent="0.3"/>
  <cols>
    <col min="1" max="1" width="10.21875" customWidth="1"/>
    <col min="2" max="2" width="10.21875" bestFit="1" customWidth="1"/>
    <col min="3" max="3" width="15.44140625" bestFit="1" customWidth="1"/>
    <col min="6" max="6" width="10.88671875" customWidth="1"/>
    <col min="7" max="7" width="12.5546875" customWidth="1"/>
  </cols>
  <sheetData>
    <row r="1" spans="1:21" x14ac:dyDescent="0.3">
      <c r="A1" s="3" t="s">
        <v>37</v>
      </c>
      <c r="E1" s="3" t="s">
        <v>39</v>
      </c>
    </row>
    <row r="3" spans="1:21" x14ac:dyDescent="0.3">
      <c r="A3" s="3" t="s">
        <v>33</v>
      </c>
      <c r="E3" s="3" t="s">
        <v>33</v>
      </c>
    </row>
    <row r="4" spans="1:21" ht="16.2" x14ac:dyDescent="0.3">
      <c r="A4" s="22" t="s">
        <v>21</v>
      </c>
      <c r="B4" s="22" t="s">
        <v>68</v>
      </c>
      <c r="C4" s="53">
        <v>2.5000000000000001E-3</v>
      </c>
      <c r="E4" s="22" t="s">
        <v>65</v>
      </c>
      <c r="F4" s="22" t="s">
        <v>25</v>
      </c>
      <c r="G4" s="53">
        <v>0.33040000000000003</v>
      </c>
    </row>
    <row r="5" spans="1:21" ht="16.2" x14ac:dyDescent="0.3">
      <c r="A5" s="22" t="s">
        <v>22</v>
      </c>
      <c r="B5" s="22" t="s">
        <v>26</v>
      </c>
      <c r="C5" s="53">
        <v>500</v>
      </c>
      <c r="E5" s="22" t="s">
        <v>22</v>
      </c>
      <c r="F5" s="22" t="s">
        <v>26</v>
      </c>
      <c r="G5" s="53">
        <f>C5</f>
        <v>500</v>
      </c>
    </row>
    <row r="6" spans="1:21" ht="16.2" x14ac:dyDescent="0.3">
      <c r="A6" s="22" t="s">
        <v>64</v>
      </c>
      <c r="B6" s="22" t="s">
        <v>67</v>
      </c>
      <c r="C6" s="23">
        <v>270.33</v>
      </c>
      <c r="E6" s="22" t="s">
        <v>64</v>
      </c>
      <c r="F6" s="22" t="s">
        <v>67</v>
      </c>
      <c r="G6" s="23">
        <f>C6</f>
        <v>270.33</v>
      </c>
    </row>
    <row r="7" spans="1:21" ht="16.2" x14ac:dyDescent="0.3">
      <c r="A7" s="22" t="s">
        <v>65</v>
      </c>
      <c r="B7" s="22" t="s">
        <v>25</v>
      </c>
      <c r="C7" s="30">
        <f>C4*C5*0.001*C6</f>
        <v>0.3379125</v>
      </c>
      <c r="E7" s="22" t="s">
        <v>21</v>
      </c>
      <c r="F7" s="22" t="s">
        <v>68</v>
      </c>
      <c r="G7" s="30">
        <f>G4/(G6*G5*0.001)</f>
        <v>2.4444197832279068E-3</v>
      </c>
    </row>
    <row r="8" spans="1:21" x14ac:dyDescent="0.3">
      <c r="A8" s="29" t="s">
        <v>66</v>
      </c>
      <c r="B8" s="3"/>
      <c r="C8" s="28"/>
      <c r="E8" s="29" t="s">
        <v>66</v>
      </c>
      <c r="F8" s="3"/>
      <c r="G8" s="28"/>
    </row>
    <row r="10" spans="1:21" x14ac:dyDescent="0.3">
      <c r="A10" s="3" t="s">
        <v>34</v>
      </c>
      <c r="E10" s="3" t="s">
        <v>34</v>
      </c>
    </row>
    <row r="11" spans="1:21" ht="16.2" x14ac:dyDescent="0.3">
      <c r="A11" s="22" t="s">
        <v>21</v>
      </c>
      <c r="B11" s="22" t="s">
        <v>68</v>
      </c>
      <c r="C11" s="53">
        <v>2.5000000000000001E-3</v>
      </c>
      <c r="E11" s="22" t="s">
        <v>24</v>
      </c>
      <c r="F11" s="22" t="s">
        <v>25</v>
      </c>
      <c r="G11" s="53">
        <v>0.16769999999999999</v>
      </c>
    </row>
    <row r="12" spans="1:21" ht="16.2" x14ac:dyDescent="0.3">
      <c r="A12" s="22" t="s">
        <v>22</v>
      </c>
      <c r="B12" s="22" t="s">
        <v>26</v>
      </c>
      <c r="C12" s="53">
        <v>500</v>
      </c>
      <c r="E12" s="22" t="s">
        <v>22</v>
      </c>
      <c r="F12" s="22" t="s">
        <v>26</v>
      </c>
      <c r="G12" s="53">
        <f>C12</f>
        <v>500</v>
      </c>
    </row>
    <row r="13" spans="1:21" ht="16.2" x14ac:dyDescent="0.3">
      <c r="A13" s="22" t="s">
        <v>23</v>
      </c>
      <c r="B13" s="22" t="s">
        <v>67</v>
      </c>
      <c r="C13" s="23">
        <v>138.12100000000001</v>
      </c>
      <c r="E13" s="22" t="s">
        <v>23</v>
      </c>
      <c r="F13" s="22" t="s">
        <v>67</v>
      </c>
      <c r="G13" s="23">
        <f>C13</f>
        <v>138.12100000000001</v>
      </c>
    </row>
    <row r="14" spans="1:21" ht="16.2" x14ac:dyDescent="0.3">
      <c r="A14" s="22" t="s">
        <v>24</v>
      </c>
      <c r="B14" s="22" t="s">
        <v>25</v>
      </c>
      <c r="C14" s="30">
        <f>C11*C12*0.001*C13</f>
        <v>0.17265125000000001</v>
      </c>
      <c r="E14" s="22" t="s">
        <v>21</v>
      </c>
      <c r="F14" s="22" t="s">
        <v>68</v>
      </c>
      <c r="G14" s="30">
        <f>G11/(G13*G12*0.001)</f>
        <v>2.4283056160902395E-3</v>
      </c>
    </row>
    <row r="15" spans="1:21" x14ac:dyDescent="0.3">
      <c r="T15" s="3"/>
      <c r="U15" s="3"/>
    </row>
    <row r="16" spans="1:21" x14ac:dyDescent="0.3">
      <c r="A16" s="3" t="s">
        <v>35</v>
      </c>
    </row>
    <row r="17" spans="1:3" x14ac:dyDescent="0.3">
      <c r="A17" t="s">
        <v>36</v>
      </c>
    </row>
    <row r="18" spans="1:3" ht="16.8" x14ac:dyDescent="0.35">
      <c r="A18" s="22" t="s">
        <v>27</v>
      </c>
      <c r="B18" s="22" t="s">
        <v>68</v>
      </c>
      <c r="C18" s="53">
        <v>2.5000000000000001E-3</v>
      </c>
    </row>
    <row r="19" spans="1:3" ht="16.8" x14ac:dyDescent="0.35">
      <c r="A19" s="22" t="s">
        <v>28</v>
      </c>
      <c r="B19" s="22" t="s">
        <v>26</v>
      </c>
      <c r="C19" s="53">
        <v>1000</v>
      </c>
    </row>
    <row r="20" spans="1:3" ht="16.8" x14ac:dyDescent="0.35">
      <c r="A20" s="22" t="s">
        <v>29</v>
      </c>
      <c r="B20" s="22" t="s">
        <v>68</v>
      </c>
      <c r="C20" s="53">
        <v>3</v>
      </c>
    </row>
    <row r="21" spans="1:3" ht="16.8" x14ac:dyDescent="0.35">
      <c r="A21" s="22" t="s">
        <v>30</v>
      </c>
      <c r="B21" s="22" t="s">
        <v>26</v>
      </c>
      <c r="C21" s="31">
        <f>(C18*C19)/C20</f>
        <v>0.83333333333333337</v>
      </c>
    </row>
    <row r="23" spans="1:3" x14ac:dyDescent="0.3">
      <c r="A23" s="3" t="s">
        <v>69</v>
      </c>
    </row>
    <row r="24" spans="1:3" x14ac:dyDescent="0.3">
      <c r="A24" t="s">
        <v>36</v>
      </c>
    </row>
    <row r="25" spans="1:3" ht="16.8" x14ac:dyDescent="0.35">
      <c r="A25" s="22" t="s">
        <v>27</v>
      </c>
      <c r="B25" s="22" t="s">
        <v>68</v>
      </c>
      <c r="C25" s="53">
        <v>2.5000000000000001E-3</v>
      </c>
    </row>
    <row r="26" spans="1:3" ht="16.8" x14ac:dyDescent="0.35">
      <c r="A26" s="22" t="s">
        <v>28</v>
      </c>
      <c r="B26" s="22" t="s">
        <v>26</v>
      </c>
      <c r="C26" s="53">
        <v>500</v>
      </c>
    </row>
    <row r="27" spans="1:3" ht="16.8" x14ac:dyDescent="0.35">
      <c r="A27" s="22" t="s">
        <v>29</v>
      </c>
      <c r="B27" s="22" t="s">
        <v>68</v>
      </c>
      <c r="C27" s="53">
        <v>1</v>
      </c>
    </row>
    <row r="28" spans="1:3" ht="16.8" x14ac:dyDescent="0.35">
      <c r="A28" s="22" t="s">
        <v>30</v>
      </c>
      <c r="B28" s="22" t="s">
        <v>26</v>
      </c>
      <c r="C28" s="32">
        <f>(C25*C26)/C27</f>
        <v>1.25</v>
      </c>
    </row>
  </sheetData>
  <pageMargins left="0.7" right="0.7" top="0.75" bottom="0.75" header="0.3" footer="0.3"/>
  <pageSetup paperSize="9" scale="92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view="pageBreakPreview" topLeftCell="A3" zoomScale="70" zoomScaleNormal="85" zoomScaleSheetLayoutView="70" workbookViewId="0">
      <selection activeCell="C16" sqref="C16"/>
    </sheetView>
  </sheetViews>
  <sheetFormatPr defaultRowHeight="14.4" x14ac:dyDescent="0.3"/>
  <cols>
    <col min="1" max="1" width="17.33203125" customWidth="1"/>
    <col min="2" max="2" width="13" customWidth="1"/>
    <col min="3" max="3" width="13.44140625" bestFit="1" customWidth="1"/>
    <col min="4" max="8" width="12.21875" bestFit="1" customWidth="1"/>
    <col min="9" max="9" width="10" bestFit="1" customWidth="1"/>
    <col min="10" max="11" width="12.21875" bestFit="1" customWidth="1"/>
    <col min="12" max="12" width="24.88671875" customWidth="1"/>
  </cols>
  <sheetData>
    <row r="1" spans="1:12" x14ac:dyDescent="0.3">
      <c r="A1" s="3" t="s">
        <v>38</v>
      </c>
    </row>
    <row r="3" spans="1:12" ht="15" thickBot="1" x14ac:dyDescent="0.35">
      <c r="A3" t="s">
        <v>40</v>
      </c>
      <c r="L3" s="6" t="s">
        <v>50</v>
      </c>
    </row>
    <row r="4" spans="1:12" ht="15" thickBot="1" x14ac:dyDescent="0.35">
      <c r="A4" s="1" t="s">
        <v>54</v>
      </c>
      <c r="B4" s="2"/>
      <c r="C4" s="33">
        <v>1</v>
      </c>
      <c r="D4" s="33">
        <v>2</v>
      </c>
      <c r="E4" s="33">
        <v>3</v>
      </c>
      <c r="F4" s="33">
        <v>4</v>
      </c>
      <c r="G4" s="33">
        <v>5</v>
      </c>
      <c r="H4" s="33">
        <v>6</v>
      </c>
      <c r="I4" s="33">
        <v>7</v>
      </c>
      <c r="J4" s="33">
        <v>8</v>
      </c>
      <c r="K4" s="33">
        <v>9</v>
      </c>
      <c r="L4" s="34"/>
    </row>
    <row r="5" spans="1:12" ht="17.399999999999999" thickTop="1" thickBot="1" x14ac:dyDescent="0.35">
      <c r="A5" s="11" t="s">
        <v>0</v>
      </c>
      <c r="B5" s="5" t="s">
        <v>1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</row>
    <row r="6" spans="1:12" ht="15" thickBot="1" x14ac:dyDescent="0.35">
      <c r="A6" s="4" t="s">
        <v>43</v>
      </c>
      <c r="B6" s="5" t="s">
        <v>1</v>
      </c>
      <c r="C6" s="7">
        <v>9</v>
      </c>
      <c r="D6" s="7">
        <v>8</v>
      </c>
      <c r="E6" s="7">
        <v>7</v>
      </c>
      <c r="F6" s="7">
        <v>6</v>
      </c>
      <c r="G6" s="7">
        <v>5</v>
      </c>
      <c r="H6" s="7">
        <v>4</v>
      </c>
      <c r="I6" s="7">
        <v>3</v>
      </c>
      <c r="J6" s="7">
        <v>2</v>
      </c>
      <c r="K6" s="7">
        <v>1</v>
      </c>
    </row>
    <row r="7" spans="1:12" ht="15" thickBot="1" x14ac:dyDescent="0.35">
      <c r="A7" s="4" t="s">
        <v>44</v>
      </c>
      <c r="B7" s="5" t="s">
        <v>1</v>
      </c>
      <c r="C7" s="7">
        <v>10</v>
      </c>
      <c r="D7" s="7">
        <v>10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  <c r="J7" s="7">
        <v>10</v>
      </c>
      <c r="K7" s="7">
        <v>10</v>
      </c>
    </row>
    <row r="8" spans="1:12" ht="29.4" thickBot="1" x14ac:dyDescent="0.35">
      <c r="A8" s="4" t="s">
        <v>42</v>
      </c>
      <c r="B8" s="5"/>
      <c r="C8" s="35" t="str">
        <f>C5&amp;":"&amp;C6</f>
        <v>1:9</v>
      </c>
      <c r="D8" s="35" t="str">
        <f>D5&amp;":"&amp;D6</f>
        <v>2:8</v>
      </c>
      <c r="E8" s="35" t="str">
        <f t="shared" ref="E8:K8" si="0">E5&amp;":"&amp;E6</f>
        <v>3:7</v>
      </c>
      <c r="F8" s="35" t="str">
        <f t="shared" si="0"/>
        <v>4:6</v>
      </c>
      <c r="G8" s="35" t="str">
        <f t="shared" si="0"/>
        <v>5:5</v>
      </c>
      <c r="H8" s="35" t="str">
        <f t="shared" si="0"/>
        <v>6:4</v>
      </c>
      <c r="I8" s="35" t="str">
        <f t="shared" si="0"/>
        <v>7:3</v>
      </c>
      <c r="J8" s="35" t="str">
        <f t="shared" si="0"/>
        <v>8:2</v>
      </c>
      <c r="K8" s="35" t="str">
        <f t="shared" si="0"/>
        <v>9:1</v>
      </c>
    </row>
    <row r="9" spans="1:12" ht="16.2" thickBot="1" x14ac:dyDescent="0.35">
      <c r="A9" s="4" t="s">
        <v>2</v>
      </c>
      <c r="B9" s="5"/>
      <c r="C9" s="51">
        <v>0.14000000000000001</v>
      </c>
      <c r="D9" s="51">
        <v>0.38500000000000001</v>
      </c>
      <c r="E9" s="51">
        <v>0.62</v>
      </c>
      <c r="F9" s="51">
        <v>0.746</v>
      </c>
      <c r="G9" s="51">
        <v>0.81699999999999995</v>
      </c>
      <c r="H9" s="51">
        <v>0.78600000000000003</v>
      </c>
      <c r="I9" s="51">
        <v>0.60799999999999998</v>
      </c>
      <c r="J9" s="51">
        <v>0.42499999999999999</v>
      </c>
      <c r="K9" s="51">
        <v>0.20200000000000001</v>
      </c>
    </row>
    <row r="10" spans="1:12" ht="16.2" thickBot="1" x14ac:dyDescent="0.35">
      <c r="A10" s="4" t="s">
        <v>3</v>
      </c>
      <c r="B10" s="5"/>
      <c r="C10" s="51">
        <v>0.14000000000000001</v>
      </c>
      <c r="D10" s="51">
        <v>0.38300000000000001</v>
      </c>
      <c r="E10" s="51">
        <v>0.61899999999999999</v>
      </c>
      <c r="F10" s="51">
        <v>0.747</v>
      </c>
      <c r="G10" s="51">
        <v>0.81499999999999995</v>
      </c>
      <c r="H10" s="51">
        <v>0.78500000000000003</v>
      </c>
      <c r="I10" s="51">
        <v>0.60599999999999998</v>
      </c>
      <c r="J10" s="51">
        <v>0.42499999999999999</v>
      </c>
      <c r="K10" s="51">
        <v>0.20200000000000001</v>
      </c>
    </row>
    <row r="11" spans="1:12" ht="16.2" thickBot="1" x14ac:dyDescent="0.35">
      <c r="A11" s="4" t="s">
        <v>4</v>
      </c>
      <c r="B11" s="5"/>
      <c r="C11" s="51">
        <v>0.14000000000000001</v>
      </c>
      <c r="D11" s="51">
        <v>0.38500000000000001</v>
      </c>
      <c r="E11" s="51">
        <v>0.61899999999999999</v>
      </c>
      <c r="F11" s="51">
        <v>0.747</v>
      </c>
      <c r="G11" s="51">
        <v>0.81499999999999995</v>
      </c>
      <c r="H11" s="51">
        <v>0.78900000000000003</v>
      </c>
      <c r="I11" s="51">
        <v>0.60699999999999998</v>
      </c>
      <c r="J11" s="51">
        <v>0.42599999999999999</v>
      </c>
      <c r="K11" s="51">
        <v>0.20100000000000001</v>
      </c>
    </row>
    <row r="12" spans="1:12" ht="15" thickBot="1" x14ac:dyDescent="0.35">
      <c r="A12" s="4" t="s">
        <v>41</v>
      </c>
      <c r="B12" s="5"/>
      <c r="C12" s="49">
        <f>AVERAGE(C9:C11)</f>
        <v>0.14000000000000001</v>
      </c>
      <c r="D12" s="49">
        <f t="shared" ref="D12:K12" si="1">AVERAGE(D9:D11)</f>
        <v>0.38433333333333336</v>
      </c>
      <c r="E12" s="49">
        <f t="shared" si="1"/>
        <v>0.61933333333333329</v>
      </c>
      <c r="F12" s="49">
        <f t="shared" si="1"/>
        <v>0.74666666666666659</v>
      </c>
      <c r="G12" s="49">
        <f t="shared" si="1"/>
        <v>0.81566666666666665</v>
      </c>
      <c r="H12" s="49">
        <f t="shared" si="1"/>
        <v>0.78666666666666674</v>
      </c>
      <c r="I12" s="49">
        <f t="shared" si="1"/>
        <v>0.60699999999999998</v>
      </c>
      <c r="J12" s="49">
        <f t="shared" si="1"/>
        <v>0.42533333333333334</v>
      </c>
      <c r="K12" s="49">
        <f t="shared" si="1"/>
        <v>0.20166666666666666</v>
      </c>
    </row>
    <row r="14" spans="1:12" ht="15" thickBot="1" x14ac:dyDescent="0.35">
      <c r="A14" s="36" t="s">
        <v>71</v>
      </c>
    </row>
    <row r="15" spans="1:12" ht="15" thickBot="1" x14ac:dyDescent="0.35">
      <c r="A15" s="1" t="s">
        <v>54</v>
      </c>
      <c r="B15" s="2"/>
      <c r="C15" s="33">
        <v>1</v>
      </c>
      <c r="D15" s="33">
        <v>2</v>
      </c>
      <c r="E15" s="33">
        <v>3</v>
      </c>
      <c r="F15" s="33">
        <v>4</v>
      </c>
      <c r="G15" s="33">
        <v>5</v>
      </c>
      <c r="H15" s="33">
        <v>6</v>
      </c>
      <c r="I15" s="33">
        <v>7</v>
      </c>
      <c r="J15" s="33">
        <v>8</v>
      </c>
      <c r="K15" s="33">
        <v>9</v>
      </c>
    </row>
    <row r="16" spans="1:12" ht="17.399999999999999" thickTop="1" thickBot="1" x14ac:dyDescent="0.35">
      <c r="A16" s="24" t="s">
        <v>62</v>
      </c>
      <c r="B16" s="25" t="s">
        <v>72</v>
      </c>
      <c r="C16" s="40">
        <f t="shared" ref="C16:K16" si="2">($C$31*C5)/$C$32</f>
        <v>9.7776791329116269E-5</v>
      </c>
      <c r="D16" s="40">
        <f t="shared" si="2"/>
        <v>1.9555358265823254E-4</v>
      </c>
      <c r="E16" s="40">
        <f t="shared" si="2"/>
        <v>2.9333037398734881E-4</v>
      </c>
      <c r="F16" s="40">
        <f t="shared" si="2"/>
        <v>3.9110716531646507E-4</v>
      </c>
      <c r="G16" s="40">
        <f t="shared" si="2"/>
        <v>4.8888395664558129E-4</v>
      </c>
      <c r="H16" s="40">
        <f t="shared" si="2"/>
        <v>5.8666074797469761E-4</v>
      </c>
      <c r="I16" s="40">
        <f t="shared" si="2"/>
        <v>6.8443753930381393E-4</v>
      </c>
      <c r="J16" s="40">
        <f t="shared" si="2"/>
        <v>7.8221433063293015E-4</v>
      </c>
      <c r="K16" s="40">
        <f t="shared" si="2"/>
        <v>8.7999112196204636E-4</v>
      </c>
    </row>
    <row r="17" spans="1:11" ht="16.8" thickBot="1" x14ac:dyDescent="0.35">
      <c r="A17" s="24" t="s">
        <v>63</v>
      </c>
      <c r="B17" s="25" t="s">
        <v>72</v>
      </c>
      <c r="C17" s="40">
        <f t="shared" ref="C17:K17" si="3">($C$31*C6)/$C$32</f>
        <v>8.7999112196204636E-4</v>
      </c>
      <c r="D17" s="40">
        <f t="shared" si="3"/>
        <v>7.8221433063293015E-4</v>
      </c>
      <c r="E17" s="40">
        <f t="shared" si="3"/>
        <v>6.8443753930381393E-4</v>
      </c>
      <c r="F17" s="40">
        <f t="shared" si="3"/>
        <v>5.8666074797469761E-4</v>
      </c>
      <c r="G17" s="40">
        <f t="shared" si="3"/>
        <v>4.8888395664558129E-4</v>
      </c>
      <c r="H17" s="40">
        <f t="shared" si="3"/>
        <v>3.9110716531646507E-4</v>
      </c>
      <c r="I17" s="40">
        <f t="shared" si="3"/>
        <v>2.9333037398734881E-4</v>
      </c>
      <c r="J17" s="40">
        <f t="shared" si="3"/>
        <v>1.9555358265823254E-4</v>
      </c>
      <c r="K17" s="40">
        <f t="shared" si="3"/>
        <v>9.7776791329116269E-5</v>
      </c>
    </row>
    <row r="18" spans="1:11" ht="16.8" thickBot="1" x14ac:dyDescent="0.35">
      <c r="A18" s="24" t="s">
        <v>21</v>
      </c>
      <c r="B18" s="25" t="s">
        <v>72</v>
      </c>
      <c r="C18" s="40">
        <f>C16+C17</f>
        <v>9.7776791329116258E-4</v>
      </c>
      <c r="D18" s="40">
        <f t="shared" ref="D18:K18" si="4">D16+D17</f>
        <v>9.7776791329116279E-4</v>
      </c>
      <c r="E18" s="40">
        <f t="shared" si="4"/>
        <v>9.7776791329116279E-4</v>
      </c>
      <c r="F18" s="40">
        <f t="shared" si="4"/>
        <v>9.7776791329116279E-4</v>
      </c>
      <c r="G18" s="40">
        <f t="shared" si="4"/>
        <v>9.7776791329116258E-4</v>
      </c>
      <c r="H18" s="40">
        <f t="shared" si="4"/>
        <v>9.7776791329116279E-4</v>
      </c>
      <c r="I18" s="40">
        <f t="shared" si="4"/>
        <v>9.7776791329116279E-4</v>
      </c>
      <c r="J18" s="40">
        <f t="shared" si="4"/>
        <v>9.7776791329116279E-4</v>
      </c>
      <c r="K18" s="40">
        <f t="shared" si="4"/>
        <v>9.7776791329116258E-4</v>
      </c>
    </row>
    <row r="19" spans="1:11" ht="15" thickBot="1" x14ac:dyDescent="0.35">
      <c r="A19" s="24" t="s">
        <v>31</v>
      </c>
      <c r="B19" s="26"/>
      <c r="C19" s="8">
        <f>C16/C18</f>
        <v>0.1</v>
      </c>
      <c r="D19" s="8">
        <f t="shared" ref="D19:K19" si="5">D16/D18</f>
        <v>0.19999999999999998</v>
      </c>
      <c r="E19" s="8">
        <f t="shared" si="5"/>
        <v>0.3</v>
      </c>
      <c r="F19" s="8">
        <f t="shared" si="5"/>
        <v>0.39999999999999997</v>
      </c>
      <c r="G19" s="8">
        <f t="shared" si="5"/>
        <v>0.5</v>
      </c>
      <c r="H19" s="8">
        <f t="shared" si="5"/>
        <v>0.6</v>
      </c>
      <c r="I19" s="8">
        <f t="shared" si="5"/>
        <v>0.7</v>
      </c>
      <c r="J19" s="8">
        <f t="shared" si="5"/>
        <v>0.79999999999999993</v>
      </c>
      <c r="K19" s="8">
        <f t="shared" si="5"/>
        <v>0.9</v>
      </c>
    </row>
    <row r="20" spans="1:11" ht="15" thickBot="1" x14ac:dyDescent="0.35">
      <c r="A20" s="24" t="s">
        <v>32</v>
      </c>
      <c r="B20" s="26"/>
      <c r="C20" s="8">
        <f>1-C19</f>
        <v>0.9</v>
      </c>
      <c r="D20" s="8">
        <f t="shared" ref="D20:K20" si="6">1-D19</f>
        <v>0.8</v>
      </c>
      <c r="E20" s="8">
        <f t="shared" si="6"/>
        <v>0.7</v>
      </c>
      <c r="F20" s="8">
        <f t="shared" si="6"/>
        <v>0.60000000000000009</v>
      </c>
      <c r="G20" s="8">
        <f t="shared" si="6"/>
        <v>0.5</v>
      </c>
      <c r="H20" s="8">
        <f t="shared" si="6"/>
        <v>0.4</v>
      </c>
      <c r="I20" s="8">
        <f t="shared" si="6"/>
        <v>0.30000000000000004</v>
      </c>
      <c r="J20" s="8">
        <f t="shared" si="6"/>
        <v>0.20000000000000007</v>
      </c>
      <c r="K20" s="8">
        <f t="shared" si="6"/>
        <v>9.9999999999999978E-2</v>
      </c>
    </row>
    <row r="21" spans="1:11" x14ac:dyDescent="0.3">
      <c r="A21" s="6"/>
      <c r="B21" s="6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5" thickBot="1" x14ac:dyDescent="0.35">
      <c r="A22" t="s">
        <v>42</v>
      </c>
    </row>
    <row r="23" spans="1:11" ht="15" thickBot="1" x14ac:dyDescent="0.35">
      <c r="A23" s="11" t="s">
        <v>5</v>
      </c>
      <c r="B23" s="12"/>
      <c r="C23" s="27">
        <f>MAX(C12:K12)</f>
        <v>0.81566666666666665</v>
      </c>
    </row>
    <row r="24" spans="1:11" ht="29.4" thickBot="1" x14ac:dyDescent="0.35">
      <c r="A24" s="4" t="s">
        <v>42</v>
      </c>
      <c r="B24" s="5"/>
      <c r="C24" s="8" t="str">
        <f>INDEX(C8:K8,1,MATCH(C23,C12:K12,0))</f>
        <v>5:5</v>
      </c>
    </row>
    <row r="25" spans="1:11" ht="16.8" thickBot="1" x14ac:dyDescent="0.35">
      <c r="A25" s="4" t="s">
        <v>0</v>
      </c>
      <c r="B25" s="5" t="s">
        <v>1</v>
      </c>
      <c r="C25" s="8">
        <f>INDEX(C5:K5,1,MATCH(C23,C12:K12,0))</f>
        <v>5</v>
      </c>
    </row>
    <row r="26" spans="1:11" ht="15" thickBot="1" x14ac:dyDescent="0.35">
      <c r="A26" s="4" t="s">
        <v>43</v>
      </c>
      <c r="B26" s="5" t="s">
        <v>1</v>
      </c>
      <c r="C26" s="8">
        <f>INDEX(C6:K6,1,MATCH(C23,C12:K12,0))</f>
        <v>5</v>
      </c>
    </row>
    <row r="27" spans="1:11" ht="15" thickBot="1" x14ac:dyDescent="0.35">
      <c r="A27" s="4" t="s">
        <v>6</v>
      </c>
      <c r="B27" s="5"/>
      <c r="C27" s="48">
        <f>C26/C25</f>
        <v>1</v>
      </c>
    </row>
    <row r="29" spans="1:11" x14ac:dyDescent="0.3">
      <c r="A29" s="36" t="s">
        <v>51</v>
      </c>
    </row>
    <row r="30" spans="1:11" ht="15" thickBot="1" x14ac:dyDescent="0.35">
      <c r="A30" s="36" t="s">
        <v>71</v>
      </c>
    </row>
    <row r="31" spans="1:11" ht="17.399999999999999" thickBot="1" x14ac:dyDescent="0.35">
      <c r="A31" s="13" t="s">
        <v>9</v>
      </c>
      <c r="B31" s="12" t="s">
        <v>68</v>
      </c>
      <c r="C31" s="19">
        <f>Calculations!G7</f>
        <v>2.4444197832279068E-3</v>
      </c>
      <c r="D31" t="s">
        <v>70</v>
      </c>
    </row>
    <row r="32" spans="1:11" ht="17.399999999999999" thickBot="1" x14ac:dyDescent="0.35">
      <c r="A32" s="9" t="s">
        <v>10</v>
      </c>
      <c r="B32" s="5" t="s">
        <v>1</v>
      </c>
      <c r="C32" s="7">
        <v>25</v>
      </c>
    </row>
    <row r="33" spans="1:4" ht="16.8" thickBot="1" x14ac:dyDescent="0.35">
      <c r="A33" s="13" t="s">
        <v>17</v>
      </c>
      <c r="B33" s="12" t="s">
        <v>68</v>
      </c>
      <c r="C33" s="19">
        <f>Calculations!G14</f>
        <v>2.4283056160902395E-3</v>
      </c>
    </row>
    <row r="34" spans="1:4" ht="16.2" thickBot="1" x14ac:dyDescent="0.35">
      <c r="A34" s="13" t="s">
        <v>18</v>
      </c>
      <c r="B34" s="5" t="s">
        <v>1</v>
      </c>
      <c r="C34" s="7">
        <v>25</v>
      </c>
      <c r="D34" t="s">
        <v>70</v>
      </c>
    </row>
    <row r="35" spans="1:4" ht="15" thickBot="1" x14ac:dyDescent="0.35">
      <c r="A35" s="11" t="s">
        <v>5</v>
      </c>
      <c r="B35" s="12"/>
      <c r="C35" s="20">
        <f>MAX(C12:K12)</f>
        <v>0.81566666666666665</v>
      </c>
    </row>
    <row r="36" spans="1:4" ht="19.5" customHeight="1" thickBot="1" x14ac:dyDescent="0.35">
      <c r="A36" s="4" t="s">
        <v>42</v>
      </c>
      <c r="B36" s="5"/>
      <c r="C36" s="48">
        <f>INDEX(C19:K19,1,MATCH(C35,C12:K12,0))</f>
        <v>0.5</v>
      </c>
    </row>
  </sheetData>
  <pageMargins left="0.7" right="0.7" top="0.75" bottom="0.75" header="0.3" footer="0.3"/>
  <pageSetup paperSize="9" scale="55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28B6-4CCD-4EDB-AADF-49F104DEBA73}">
  <dimension ref="A1:I24"/>
  <sheetViews>
    <sheetView view="pageBreakPreview" zoomScaleNormal="85" zoomScaleSheetLayoutView="100" workbookViewId="0">
      <selection activeCell="G6" sqref="G6"/>
    </sheetView>
  </sheetViews>
  <sheetFormatPr defaultRowHeight="14.4" x14ac:dyDescent="0.3"/>
  <cols>
    <col min="1" max="1" width="15.5546875" customWidth="1"/>
    <col min="2" max="2" width="12.88671875" customWidth="1"/>
    <col min="3" max="3" width="10.44140625" customWidth="1"/>
    <col min="4" max="7" width="12.109375" customWidth="1"/>
  </cols>
  <sheetData>
    <row r="1" spans="1:9" x14ac:dyDescent="0.3">
      <c r="A1" s="3" t="s">
        <v>45</v>
      </c>
    </row>
    <row r="3" spans="1:9" ht="15" thickBot="1" x14ac:dyDescent="0.35">
      <c r="A3" t="s">
        <v>46</v>
      </c>
      <c r="I3" t="s">
        <v>50</v>
      </c>
    </row>
    <row r="4" spans="1:9" ht="15" thickBot="1" x14ac:dyDescent="0.35">
      <c r="A4" s="1" t="s">
        <v>54</v>
      </c>
      <c r="B4" s="2"/>
      <c r="C4" s="33">
        <v>1</v>
      </c>
      <c r="D4" s="33">
        <v>2</v>
      </c>
      <c r="E4" s="33">
        <v>3</v>
      </c>
      <c r="F4" s="33">
        <v>4</v>
      </c>
      <c r="G4" s="33">
        <v>5</v>
      </c>
    </row>
    <row r="5" spans="1:9" ht="17.399999999999999" thickTop="1" thickBot="1" x14ac:dyDescent="0.35">
      <c r="A5" s="4" t="s">
        <v>0</v>
      </c>
      <c r="B5" s="5" t="s">
        <v>1</v>
      </c>
      <c r="C5" s="7">
        <v>1</v>
      </c>
      <c r="D5" s="7">
        <v>2</v>
      </c>
      <c r="E5" s="7">
        <v>3</v>
      </c>
      <c r="F5" s="7">
        <v>4</v>
      </c>
      <c r="G5" s="7">
        <v>5</v>
      </c>
    </row>
    <row r="6" spans="1:9" ht="16.8" thickBot="1" x14ac:dyDescent="0.35">
      <c r="A6" s="4" t="s">
        <v>7</v>
      </c>
      <c r="B6" s="5" t="s">
        <v>68</v>
      </c>
      <c r="C6" s="40">
        <f>($C$14*C5)/$C$15</f>
        <v>9.7776791329116269E-5</v>
      </c>
      <c r="D6" s="40">
        <f t="shared" ref="D6:G6" si="0">($C$14*D5)/$C$15</f>
        <v>1.9555358265823254E-4</v>
      </c>
      <c r="E6" s="40">
        <f t="shared" si="0"/>
        <v>2.9333037398734881E-4</v>
      </c>
      <c r="F6" s="40">
        <f t="shared" si="0"/>
        <v>3.9110716531646507E-4</v>
      </c>
      <c r="G6" s="40">
        <f t="shared" si="0"/>
        <v>4.8888395664558129E-4</v>
      </c>
    </row>
    <row r="7" spans="1:9" ht="17.399999999999999" thickBot="1" x14ac:dyDescent="0.35">
      <c r="A7" s="4" t="s">
        <v>8</v>
      </c>
      <c r="B7" s="5" t="s">
        <v>68</v>
      </c>
      <c r="C7" s="40">
        <f>C6</f>
        <v>9.7776791329116269E-5</v>
      </c>
      <c r="D7" s="40">
        <f t="shared" ref="D7:G7" si="1">D6</f>
        <v>1.9555358265823254E-4</v>
      </c>
      <c r="E7" s="40">
        <f t="shared" si="1"/>
        <v>2.9333037398734881E-4</v>
      </c>
      <c r="F7" s="40">
        <f t="shared" si="1"/>
        <v>3.9110716531646507E-4</v>
      </c>
      <c r="G7" s="40">
        <f t="shared" si="1"/>
        <v>4.8888395664558129E-4</v>
      </c>
    </row>
    <row r="8" spans="1:9" ht="16.2" thickBot="1" x14ac:dyDescent="0.35">
      <c r="A8" s="4" t="s">
        <v>2</v>
      </c>
      <c r="B8" s="5"/>
      <c r="C8" s="51">
        <v>0.23200000000000001</v>
      </c>
      <c r="D8" s="51">
        <v>0.33200000000000002</v>
      </c>
      <c r="E8" s="51">
        <v>0.50600000000000001</v>
      </c>
      <c r="F8" s="51">
        <v>0.67900000000000005</v>
      </c>
      <c r="G8" s="51">
        <v>0.82399999999999995</v>
      </c>
    </row>
    <row r="9" spans="1:9" ht="16.2" thickBot="1" x14ac:dyDescent="0.35">
      <c r="A9" s="4" t="s">
        <v>3</v>
      </c>
      <c r="B9" s="5"/>
      <c r="C9" s="51">
        <v>0.23300000000000001</v>
      </c>
      <c r="D9" s="51">
        <v>0.33200000000000002</v>
      </c>
      <c r="E9" s="51">
        <v>0.50700000000000001</v>
      </c>
      <c r="F9" s="51">
        <v>0.67800000000000005</v>
      </c>
      <c r="G9" s="51">
        <v>0.82199999999999995</v>
      </c>
    </row>
    <row r="10" spans="1:9" ht="16.2" thickBot="1" x14ac:dyDescent="0.35">
      <c r="A10" s="4" t="s">
        <v>4</v>
      </c>
      <c r="B10" s="5"/>
      <c r="C10" s="51">
        <v>0.23300000000000001</v>
      </c>
      <c r="D10" s="51">
        <v>0.33</v>
      </c>
      <c r="E10" s="51">
        <v>0.50700000000000001</v>
      </c>
      <c r="F10" s="51">
        <v>0.67800000000000005</v>
      </c>
      <c r="G10" s="51">
        <v>0.82399999999999995</v>
      </c>
    </row>
    <row r="11" spans="1:9" ht="15" thickBot="1" x14ac:dyDescent="0.35">
      <c r="A11" s="4" t="s">
        <v>41</v>
      </c>
      <c r="B11" s="5"/>
      <c r="C11" s="47">
        <f>AVERAGE(C8:C10)</f>
        <v>0.23266666666666669</v>
      </c>
      <c r="D11" s="47">
        <f t="shared" ref="D11:G11" si="2">AVERAGE(D8:D10)</f>
        <v>0.33133333333333331</v>
      </c>
      <c r="E11" s="47">
        <f t="shared" si="2"/>
        <v>0.50666666666666671</v>
      </c>
      <c r="F11" s="47">
        <f t="shared" si="2"/>
        <v>0.67833333333333334</v>
      </c>
      <c r="G11" s="47">
        <f t="shared" si="2"/>
        <v>0.82333333333333325</v>
      </c>
    </row>
    <row r="13" spans="1:9" ht="15" thickBot="1" x14ac:dyDescent="0.35">
      <c r="A13" t="s">
        <v>47</v>
      </c>
    </row>
    <row r="14" spans="1:9" ht="17.399999999999999" thickBot="1" x14ac:dyDescent="0.35">
      <c r="A14" s="11" t="s">
        <v>9</v>
      </c>
      <c r="B14" s="11" t="s">
        <v>68</v>
      </c>
      <c r="C14" s="45">
        <f>Calculations!G7</f>
        <v>2.4444197832279068E-3</v>
      </c>
      <c r="D14" t="s">
        <v>70</v>
      </c>
    </row>
    <row r="15" spans="1:9" ht="17.399999999999999" thickBot="1" x14ac:dyDescent="0.35">
      <c r="A15" s="4" t="s">
        <v>10</v>
      </c>
      <c r="B15" s="5" t="s">
        <v>1</v>
      </c>
      <c r="C15" s="7">
        <v>25</v>
      </c>
    </row>
    <row r="17" spans="1:3" ht="15" thickBot="1" x14ac:dyDescent="0.35">
      <c r="A17" t="s">
        <v>48</v>
      </c>
    </row>
    <row r="18" spans="1:3" ht="16.2" x14ac:dyDescent="0.3">
      <c r="A18" s="17" t="s">
        <v>11</v>
      </c>
      <c r="B18" s="18" t="s">
        <v>12</v>
      </c>
      <c r="C18" s="18" t="s">
        <v>75</v>
      </c>
    </row>
    <row r="19" spans="1:3" ht="15" thickBot="1" x14ac:dyDescent="0.35">
      <c r="A19" s="15" t="s">
        <v>20</v>
      </c>
      <c r="B19" s="16"/>
      <c r="C19" s="16"/>
    </row>
    <row r="20" spans="1:3" ht="15.6" thickTop="1" thickBot="1" x14ac:dyDescent="0.35">
      <c r="A20" s="46">
        <f>SLOPE(C11:G11,C6:G6)</f>
        <v>1563.0839512711864</v>
      </c>
      <c r="B20" s="8">
        <f>INTERCEPT(C11:G11,C6:G6)</f>
        <v>5.5966666666666609E-2</v>
      </c>
      <c r="C20" s="8">
        <f>RSQ(C11:G11,C6:G6)</f>
        <v>0.99285676907405651</v>
      </c>
    </row>
    <row r="21" spans="1:3" x14ac:dyDescent="0.3">
      <c r="A21" s="10"/>
      <c r="B21" s="10"/>
    </row>
    <row r="22" spans="1:3" ht="15" thickBot="1" x14ac:dyDescent="0.35">
      <c r="A22" t="s">
        <v>49</v>
      </c>
    </row>
    <row r="23" spans="1:3" ht="15" thickBot="1" x14ac:dyDescent="0.35">
      <c r="A23" s="11" t="s">
        <v>13</v>
      </c>
      <c r="B23" s="12" t="s">
        <v>14</v>
      </c>
      <c r="C23" s="50">
        <v>1</v>
      </c>
    </row>
    <row r="24" spans="1:3" ht="16.8" thickBot="1" x14ac:dyDescent="0.35">
      <c r="A24" s="14" t="s">
        <v>15</v>
      </c>
      <c r="B24" s="5" t="s">
        <v>19</v>
      </c>
      <c r="C24" s="48">
        <f>A20/C23</f>
        <v>1563.0839512711864</v>
      </c>
    </row>
  </sheetData>
  <pageMargins left="0.7" right="0.7" top="0.75" bottom="0.75" header="0.3" footer="0.3"/>
  <pageSetup paperSize="9" scale="94" orientation="portrait" horizontalDpi="4294967295" verticalDpi="4294967295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D0B7-DECB-4991-A668-38D285D73ED0}">
  <dimension ref="A1:E28"/>
  <sheetViews>
    <sheetView view="pageBreakPreview" topLeftCell="A2" zoomScale="90" zoomScaleNormal="85" zoomScaleSheetLayoutView="90" workbookViewId="0">
      <selection activeCell="C27" sqref="C27"/>
    </sheetView>
  </sheetViews>
  <sheetFormatPr defaultRowHeight="14.4" x14ac:dyDescent="0.3"/>
  <cols>
    <col min="1" max="1" width="38.33203125" customWidth="1"/>
    <col min="2" max="2" width="12.44140625" customWidth="1"/>
    <col min="3" max="3" width="11.21875" customWidth="1"/>
    <col min="4" max="5" width="12.109375" bestFit="1" customWidth="1"/>
  </cols>
  <sheetData>
    <row r="1" spans="1:5" x14ac:dyDescent="0.3">
      <c r="A1" s="3" t="s">
        <v>52</v>
      </c>
    </row>
    <row r="3" spans="1:5" ht="15" thickBot="1" x14ac:dyDescent="0.35">
      <c r="A3" t="s">
        <v>53</v>
      </c>
    </row>
    <row r="4" spans="1:5" ht="15" thickBot="1" x14ac:dyDescent="0.35">
      <c r="A4" s="1" t="s">
        <v>54</v>
      </c>
      <c r="B4" s="2"/>
      <c r="C4" s="33">
        <v>1</v>
      </c>
      <c r="D4" s="33">
        <v>2</v>
      </c>
      <c r="E4" s="33">
        <v>3</v>
      </c>
    </row>
    <row r="5" spans="1:5" ht="17.399999999999999" thickTop="1" thickBot="1" x14ac:dyDescent="0.35">
      <c r="A5" s="11" t="s">
        <v>0</v>
      </c>
      <c r="B5" s="5" t="s">
        <v>1</v>
      </c>
      <c r="C5" s="7">
        <v>5</v>
      </c>
      <c r="D5" s="7">
        <v>4</v>
      </c>
      <c r="E5" s="7">
        <v>3</v>
      </c>
    </row>
    <row r="6" spans="1:5" ht="15" thickBot="1" x14ac:dyDescent="0.35">
      <c r="A6" s="4" t="s">
        <v>43</v>
      </c>
      <c r="B6" s="5" t="s">
        <v>1</v>
      </c>
      <c r="C6" s="7">
        <v>5</v>
      </c>
      <c r="D6" s="7">
        <v>4</v>
      </c>
      <c r="E6" s="7">
        <v>3</v>
      </c>
    </row>
    <row r="7" spans="1:5" ht="15" thickBot="1" x14ac:dyDescent="0.35">
      <c r="A7" s="4" t="s">
        <v>44</v>
      </c>
      <c r="B7" s="5" t="s">
        <v>1</v>
      </c>
      <c r="C7" s="37">
        <v>10</v>
      </c>
      <c r="D7" s="38">
        <v>12</v>
      </c>
      <c r="E7" s="38">
        <v>14</v>
      </c>
    </row>
    <row r="8" spans="1:5" ht="16.2" thickBot="1" x14ac:dyDescent="0.35">
      <c r="A8" s="4" t="s">
        <v>2</v>
      </c>
      <c r="B8" s="5"/>
      <c r="C8" s="52">
        <v>0.89</v>
      </c>
      <c r="D8" s="52">
        <v>0.67300000000000004</v>
      </c>
      <c r="E8" s="52">
        <v>0.52800000000000002</v>
      </c>
    </row>
    <row r="9" spans="1:5" ht="16.2" thickBot="1" x14ac:dyDescent="0.35">
      <c r="A9" s="4" t="s">
        <v>3</v>
      </c>
      <c r="B9" s="5"/>
      <c r="C9" s="52">
        <v>0.89100000000000001</v>
      </c>
      <c r="D9" s="52">
        <v>0.67</v>
      </c>
      <c r="E9" s="52">
        <v>0.53600000000000003</v>
      </c>
    </row>
    <row r="10" spans="1:5" ht="16.2" thickBot="1" x14ac:dyDescent="0.35">
      <c r="A10" s="4" t="s">
        <v>4</v>
      </c>
      <c r="B10" s="5"/>
      <c r="C10" s="52">
        <v>0.88400000000000001</v>
      </c>
      <c r="D10" s="52">
        <v>0.67600000000000005</v>
      </c>
      <c r="E10" s="52">
        <v>0.53100000000000003</v>
      </c>
    </row>
    <row r="11" spans="1:5" ht="15" thickBot="1" x14ac:dyDescent="0.35">
      <c r="A11" s="4" t="s">
        <v>41</v>
      </c>
      <c r="B11" s="5"/>
      <c r="C11" s="39">
        <f>AVERAGE(C8:C10)</f>
        <v>0.88833333333333331</v>
      </c>
      <c r="D11" s="39">
        <f t="shared" ref="D11:E11" si="0">AVERAGE(D8:D10)</f>
        <v>0.67300000000000004</v>
      </c>
      <c r="E11" s="39">
        <f t="shared" si="0"/>
        <v>0.53166666666666673</v>
      </c>
    </row>
    <row r="12" spans="1:5" ht="17.399999999999999" thickBot="1" x14ac:dyDescent="0.35">
      <c r="A12" s="4" t="s">
        <v>55</v>
      </c>
      <c r="B12" s="5" t="s">
        <v>68</v>
      </c>
      <c r="C12" s="40">
        <f>($C$21*C5)/$C$22</f>
        <v>6.1110494580697669E-4</v>
      </c>
      <c r="D12" s="40">
        <f t="shared" ref="D12:E12" si="1">($C$21*D5)/$C$22</f>
        <v>4.888839566455814E-4</v>
      </c>
      <c r="E12" s="40">
        <f t="shared" si="1"/>
        <v>3.6666296748418599E-4</v>
      </c>
    </row>
    <row r="13" spans="1:5" ht="16.8" thickBot="1" x14ac:dyDescent="0.35">
      <c r="A13" s="4" t="s">
        <v>56</v>
      </c>
      <c r="B13" s="5" t="s">
        <v>68</v>
      </c>
      <c r="C13" s="40">
        <f>($C$23*C5)/$C$24</f>
        <v>6.0707640402255989E-4</v>
      </c>
      <c r="D13" s="40">
        <f t="shared" ref="D13:E13" si="2">($C$23*D5)/$C$24</f>
        <v>4.8566112321804793E-4</v>
      </c>
      <c r="E13" s="40">
        <f t="shared" si="2"/>
        <v>3.6424584241353592E-4</v>
      </c>
    </row>
    <row r="14" spans="1:5" ht="17.399999999999999" thickBot="1" x14ac:dyDescent="0.35">
      <c r="A14" s="4" t="s">
        <v>57</v>
      </c>
      <c r="B14" s="5" t="s">
        <v>68</v>
      </c>
      <c r="C14" s="41">
        <f>(C11)/($C$28*$C$27)</f>
        <v>5.6832093542441629E-4</v>
      </c>
      <c r="D14" s="41">
        <f t="shared" ref="D14:E14" si="3">(D11)/($C$28*$C$27)</f>
        <v>4.3055908766300057E-4</v>
      </c>
      <c r="E14" s="41">
        <f t="shared" si="3"/>
        <v>3.401395467174274E-4</v>
      </c>
    </row>
    <row r="15" spans="1:5" ht="17.399999999999999" thickBot="1" x14ac:dyDescent="0.35">
      <c r="A15" s="4" t="s">
        <v>58</v>
      </c>
      <c r="B15" s="5" t="s">
        <v>68</v>
      </c>
      <c r="C15" s="40">
        <f>C12-C14</f>
        <v>4.2784010382560401E-5</v>
      </c>
      <c r="D15" s="40">
        <f t="shared" ref="D15" si="4">D12-D14</f>
        <v>5.8324868982580832E-5</v>
      </c>
      <c r="E15" s="40">
        <f>E12-E14</f>
        <v>2.6523420766758597E-5</v>
      </c>
    </row>
    <row r="16" spans="1:5" ht="16.8" thickBot="1" x14ac:dyDescent="0.35">
      <c r="A16" s="4" t="s">
        <v>59</v>
      </c>
      <c r="B16" s="5" t="s">
        <v>68</v>
      </c>
      <c r="C16" s="40">
        <f>C13-C14</f>
        <v>3.8755468598143596E-5</v>
      </c>
      <c r="D16" s="40">
        <f t="shared" ref="D16" si="5">D13-D14</f>
        <v>5.5102035555047366E-5</v>
      </c>
      <c r="E16" s="40">
        <f t="shared" ref="E16" si="6">E13-E14</f>
        <v>2.4106295696108525E-5</v>
      </c>
    </row>
    <row r="17" spans="1:5" ht="16.2" thickBot="1" x14ac:dyDescent="0.35">
      <c r="A17" s="4" t="s">
        <v>16</v>
      </c>
      <c r="B17" s="5"/>
      <c r="C17" s="8">
        <f>(C14)/(C15*C16)</f>
        <v>342751.34779842396</v>
      </c>
      <c r="D17" s="8">
        <f t="shared" ref="D17:E17" si="7">(D14)/(D15*D16)</f>
        <v>133971.16859120791</v>
      </c>
      <c r="E17" s="8">
        <f t="shared" si="7"/>
        <v>531982.21596050914</v>
      </c>
    </row>
    <row r="18" spans="1:5" ht="16.2" thickBot="1" x14ac:dyDescent="0.35">
      <c r="A18" s="4" t="s">
        <v>60</v>
      </c>
      <c r="B18" s="5"/>
      <c r="C18" s="42">
        <f>AVERAGE(C17:E17)</f>
        <v>336234.91078338033</v>
      </c>
      <c r="D18" s="43" t="s">
        <v>74</v>
      </c>
      <c r="E18" s="43" t="s">
        <v>74</v>
      </c>
    </row>
    <row r="20" spans="1:5" ht="15" thickBot="1" x14ac:dyDescent="0.35">
      <c r="A20" t="s">
        <v>61</v>
      </c>
    </row>
    <row r="21" spans="1:5" ht="17.399999999999999" thickBot="1" x14ac:dyDescent="0.35">
      <c r="A21" s="13" t="s">
        <v>9</v>
      </c>
      <c r="B21" s="11" t="s">
        <v>68</v>
      </c>
      <c r="C21" s="44">
        <f>Calculations!G7</f>
        <v>2.4444197832279068E-3</v>
      </c>
      <c r="D21" t="s">
        <v>70</v>
      </c>
    </row>
    <row r="22" spans="1:5" ht="17.399999999999999" thickBot="1" x14ac:dyDescent="0.35">
      <c r="A22" s="9" t="s">
        <v>10</v>
      </c>
      <c r="B22" s="5" t="s">
        <v>1</v>
      </c>
      <c r="C22" s="7">
        <v>20</v>
      </c>
    </row>
    <row r="23" spans="1:5" ht="16.8" thickBot="1" x14ac:dyDescent="0.35">
      <c r="A23" s="13" t="s">
        <v>17</v>
      </c>
      <c r="B23" s="5" t="s">
        <v>68</v>
      </c>
      <c r="C23" s="44">
        <f>Calculations!G14</f>
        <v>2.4283056160902395E-3</v>
      </c>
    </row>
    <row r="24" spans="1:5" ht="16.2" thickBot="1" x14ac:dyDescent="0.35">
      <c r="A24" s="13" t="s">
        <v>18</v>
      </c>
      <c r="B24" s="5" t="s">
        <v>1</v>
      </c>
      <c r="C24" s="7">
        <v>20</v>
      </c>
      <c r="D24" t="s">
        <v>70</v>
      </c>
    </row>
    <row r="26" spans="1:5" ht="15" thickBot="1" x14ac:dyDescent="0.35"/>
    <row r="27" spans="1:5" ht="15" thickBot="1" x14ac:dyDescent="0.35">
      <c r="A27" s="11" t="s">
        <v>13</v>
      </c>
      <c r="B27" s="12" t="s">
        <v>14</v>
      </c>
      <c r="C27" s="45">
        <f>'Mol. ext. coefficient'!C23</f>
        <v>1</v>
      </c>
      <c r="D27" t="s">
        <v>73</v>
      </c>
    </row>
    <row r="28" spans="1:5" ht="16.8" thickBot="1" x14ac:dyDescent="0.35">
      <c r="A28" s="21" t="s">
        <v>15</v>
      </c>
      <c r="B28" s="12" t="s">
        <v>19</v>
      </c>
      <c r="C28" s="45">
        <f>'Mol. ext. coefficient'!C24</f>
        <v>1563.0839512711864</v>
      </c>
      <c r="D28" t="s">
        <v>73</v>
      </c>
    </row>
  </sheetData>
  <pageMargins left="0.7" right="0.7" top="0.75" bottom="0.75" header="0.3" footer="0.3"/>
  <pageSetup paperSize="9" scale="9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Disclaimer</vt:lpstr>
      <vt:lpstr>Calculations</vt:lpstr>
      <vt:lpstr>Empirical formula</vt:lpstr>
      <vt:lpstr>Mol. ext. coefficient</vt:lpstr>
      <vt:lpstr>Keq</vt:lpstr>
      <vt:lpstr>Calculations!Print_Area</vt:lpstr>
      <vt:lpstr>'Empirical formula'!Print_Area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Dömötörová</dc:creator>
  <cp:lastModifiedBy>Ivan Špánik</cp:lastModifiedBy>
  <cp:lastPrinted>2025-06-01T10:40:43Z</cp:lastPrinted>
  <dcterms:created xsi:type="dcterms:W3CDTF">2015-06-05T18:17:20Z</dcterms:created>
  <dcterms:modified xsi:type="dcterms:W3CDTF">2026-02-05T08:10:53Z</dcterms:modified>
</cp:coreProperties>
</file>